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queFLORINS\Dropbox (FIWAP)\Commun\Internet FIWAP 2018\3 Documentation\3.9 Documents en ligne\Calcul coût de production\"/>
    </mc:Choice>
  </mc:AlternateContent>
  <xr:revisionPtr revIDLastSave="0" documentId="13_ncr:1_{3C466F2E-25FF-4CAA-A35B-84573B967924}" xr6:coauthVersionLast="47" xr6:coauthVersionMax="47" xr10:uidLastSave="{00000000-0000-0000-0000-000000000000}"/>
  <bookViews>
    <workbookView showSheetTabs="0" xWindow="-110" yWindow="-110" windowWidth="19420" windowHeight="10560" xr2:uid="{B5DB989C-97A9-4F8B-9D16-9E4685CF36BD}"/>
  </bookViews>
  <sheets>
    <sheet name="globale kostprijs per gew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" i="1" l="1"/>
  <c r="R18" i="1" l="1"/>
  <c r="R5" i="1"/>
  <c r="R4" i="1"/>
  <c r="R3" i="1"/>
  <c r="Y4" i="1" l="1"/>
  <c r="O7" i="1"/>
  <c r="F7" i="1"/>
  <c r="G7" i="1" s="1"/>
  <c r="H7" i="1" s="1"/>
  <c r="I7" i="1" s="1"/>
  <c r="J7" i="1" s="1"/>
  <c r="K7" i="1" s="1"/>
  <c r="L7" i="1" s="1"/>
  <c r="M7" i="1" s="1"/>
  <c r="N7" i="1" s="1"/>
  <c r="E7" i="1"/>
  <c r="D7" i="1"/>
  <c r="T28" i="1" l="1"/>
  <c r="T20" i="1" s="1"/>
  <c r="T9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Y9" i="1"/>
  <c r="R7" i="1"/>
  <c r="R8" i="1"/>
  <c r="R9" i="1"/>
  <c r="R10" i="1"/>
  <c r="R11" i="1"/>
  <c r="R12" i="1"/>
  <c r="R13" i="1"/>
  <c r="R14" i="1"/>
  <c r="R15" i="1"/>
  <c r="R16" i="1"/>
  <c r="R17" i="1"/>
  <c r="R6" i="1"/>
  <c r="S21" i="1" l="1"/>
  <c r="R2" i="1"/>
  <c r="X9" i="1"/>
  <c r="Z9" i="1"/>
  <c r="AA9" i="1"/>
  <c r="AB9" i="1"/>
  <c r="W9" i="1"/>
  <c r="X6" i="1"/>
  <c r="X5" i="1" s="1"/>
  <c r="Y6" i="1"/>
  <c r="Y5" i="1" s="1"/>
  <c r="Z6" i="1"/>
  <c r="Z5" i="1" s="1"/>
  <c r="Z18" i="1" s="1"/>
  <c r="AA6" i="1"/>
  <c r="AA5" i="1" s="1"/>
  <c r="AA18" i="1" s="1"/>
  <c r="AB6" i="1"/>
  <c r="AB5" i="1" s="1"/>
  <c r="AB18" i="1" s="1"/>
  <c r="W6" i="1"/>
  <c r="W5" i="1" s="1"/>
  <c r="W18" i="1" l="1"/>
  <c r="S17" i="1"/>
  <c r="S16" i="1"/>
  <c r="X18" i="1"/>
  <c r="S10" i="1"/>
  <c r="S12" i="1"/>
  <c r="S13" i="1"/>
  <c r="S11" i="1"/>
  <c r="S14" i="1"/>
  <c r="Y18" i="1"/>
  <c r="S18" i="1" s="1"/>
  <c r="S15" i="1"/>
  <c r="S6" i="1"/>
  <c r="S7" i="1"/>
  <c r="S9" i="1"/>
  <c r="S3" i="1"/>
  <c r="C9" i="1" s="1"/>
  <c r="C10" i="1" s="1"/>
  <c r="C11" i="1" s="1"/>
  <c r="C12" i="1" s="1"/>
  <c r="C13" i="1" s="1"/>
  <c r="C14" i="1" s="1"/>
  <c r="C15" i="1" s="1"/>
  <c r="C16" i="1" s="1"/>
  <c r="C17" i="1" s="1"/>
  <c r="S8" i="1"/>
  <c r="S4" i="1"/>
  <c r="S5" i="1"/>
  <c r="T6" i="1"/>
  <c r="T5" i="1" s="1"/>
  <c r="T21" i="1" l="1"/>
  <c r="T18" i="1"/>
  <c r="D8" i="1" l="1"/>
  <c r="D10" i="1" l="1"/>
  <c r="D17" i="1"/>
  <c r="D13" i="1"/>
  <c r="E8" i="1"/>
  <c r="E17" i="1" s="1"/>
  <c r="D11" i="1"/>
  <c r="D12" i="1"/>
  <c r="D9" i="1"/>
  <c r="D14" i="1" l="1"/>
  <c r="E14" i="1"/>
  <c r="E10" i="1"/>
  <c r="E9" i="1"/>
  <c r="E11" i="1"/>
  <c r="E12" i="1"/>
  <c r="E13" i="1"/>
  <c r="F8" i="1"/>
  <c r="F17" i="1" s="1"/>
  <c r="F16" i="1" l="1"/>
  <c r="D15" i="1"/>
  <c r="E15" i="1"/>
  <c r="G8" i="1"/>
  <c r="G17" i="1" s="1"/>
  <c r="F12" i="1"/>
  <c r="F11" i="1"/>
  <c r="F9" i="1"/>
  <c r="F13" i="1"/>
  <c r="F15" i="1"/>
  <c r="F14" i="1"/>
  <c r="F10" i="1"/>
  <c r="D16" i="1" l="1"/>
  <c r="E16" i="1"/>
  <c r="H8" i="1"/>
  <c r="H17" i="1" s="1"/>
  <c r="G11" i="1"/>
  <c r="G16" i="1"/>
  <c r="G15" i="1"/>
  <c r="G9" i="1"/>
  <c r="G14" i="1"/>
  <c r="G13" i="1"/>
  <c r="G12" i="1"/>
  <c r="G10" i="1"/>
  <c r="I8" i="1" l="1"/>
  <c r="I17" i="1" s="1"/>
  <c r="H10" i="1"/>
  <c r="H14" i="1"/>
  <c r="H12" i="1"/>
  <c r="H11" i="1"/>
  <c r="H9" i="1"/>
  <c r="H15" i="1"/>
  <c r="H13" i="1"/>
  <c r="H16" i="1"/>
  <c r="I9" i="1" l="1"/>
  <c r="I13" i="1"/>
  <c r="I15" i="1"/>
  <c r="I12" i="1"/>
  <c r="I11" i="1"/>
  <c r="I10" i="1"/>
  <c r="I16" i="1"/>
  <c r="I14" i="1"/>
  <c r="J8" i="1"/>
  <c r="J17" i="1" s="1"/>
  <c r="J16" i="1" l="1"/>
  <c r="J14" i="1"/>
  <c r="J12" i="1"/>
  <c r="J10" i="1"/>
  <c r="J9" i="1"/>
  <c r="J15" i="1"/>
  <c r="J13" i="1"/>
  <c r="J11" i="1"/>
  <c r="K8" i="1"/>
  <c r="K17" i="1" s="1"/>
  <c r="L8" i="1" l="1"/>
  <c r="L12" i="1" s="1"/>
  <c r="K15" i="1"/>
  <c r="K14" i="1"/>
  <c r="K12" i="1"/>
  <c r="K11" i="1"/>
  <c r="K16" i="1"/>
  <c r="K10" i="1"/>
  <c r="K9" i="1"/>
  <c r="K13" i="1"/>
  <c r="L11" i="1" l="1"/>
  <c r="L17" i="1"/>
  <c r="L15" i="1"/>
  <c r="L16" i="1"/>
  <c r="L13" i="1"/>
  <c r="L9" i="1"/>
  <c r="L14" i="1"/>
  <c r="L10" i="1"/>
  <c r="M8" i="1"/>
  <c r="M17" i="1" s="1"/>
  <c r="N8" i="1" l="1"/>
  <c r="O8" i="1"/>
  <c r="O17" i="1" s="1"/>
  <c r="M11" i="1"/>
  <c r="M16" i="1"/>
  <c r="M13" i="1"/>
  <c r="M15" i="1"/>
  <c r="M9" i="1"/>
  <c r="M10" i="1"/>
  <c r="M14" i="1"/>
  <c r="M12" i="1"/>
  <c r="N10" i="1" l="1"/>
  <c r="N17" i="1"/>
  <c r="N11" i="1"/>
  <c r="N15" i="1"/>
  <c r="N16" i="1"/>
  <c r="N12" i="1"/>
  <c r="N9" i="1"/>
  <c r="N14" i="1"/>
  <c r="N13" i="1"/>
  <c r="O9" i="1"/>
  <c r="O16" i="1"/>
  <c r="O15" i="1"/>
  <c r="O12" i="1"/>
  <c r="O11" i="1"/>
  <c r="O13" i="1"/>
  <c r="O10" i="1"/>
  <c r="O14" i="1"/>
</calcChain>
</file>

<file path=xl/sharedStrings.xml><?xml version="1.0" encoding="utf-8"?>
<sst xmlns="http://schemas.openxmlformats.org/spreadsheetml/2006/main" count="54" uniqueCount="52">
  <si>
    <t>100 kg</t>
  </si>
  <si>
    <t>(€/per ha)</t>
  </si>
  <si>
    <t>machines</t>
  </si>
  <si>
    <t>Total</t>
  </si>
  <si>
    <t>(choisir ici la culture)</t>
  </si>
  <si>
    <t>coûts variables</t>
  </si>
  <si>
    <t>coûts fixes</t>
  </si>
  <si>
    <t>rendement par hectare (quantité)</t>
  </si>
  <si>
    <t>description courte</t>
  </si>
  <si>
    <t>- choisissez la culture pour laquelle vous voulez établir le coût de production.</t>
  </si>
  <si>
    <t>- choisissez si vous voulez faire cela en quintal ou en tonnes.</t>
  </si>
  <si>
    <t>oignons</t>
  </si>
  <si>
    <t>froment</t>
  </si>
  <si>
    <t>pdt conso</t>
  </si>
  <si>
    <t>plants de pdt</t>
  </si>
  <si>
    <t>betteraves sucrières</t>
  </si>
  <si>
    <t>orge / escourgeon</t>
  </si>
  <si>
    <t>rdt/ha (kg)</t>
  </si>
  <si>
    <t>prix de vente (€/100kg)</t>
  </si>
  <si>
    <t>rdt/ha (euro)</t>
  </si>
  <si>
    <t>production principale</t>
  </si>
  <si>
    <t>sous-produit</t>
  </si>
  <si>
    <t>autres</t>
  </si>
  <si>
    <t>charges variables (euro/ha)</t>
  </si>
  <si>
    <t>plants / semences</t>
  </si>
  <si>
    <t>phytos</t>
  </si>
  <si>
    <t>énergie</t>
  </si>
  <si>
    <t>entreprise</t>
  </si>
  <si>
    <t>irrigation</t>
  </si>
  <si>
    <t>coûts de conservation</t>
  </si>
  <si>
    <t>Solde/ha (euro)</t>
  </si>
  <si>
    <t>vos coûts fixes:</t>
  </si>
  <si>
    <t>mon coût de production par:</t>
  </si>
  <si>
    <t>charges fixes:</t>
  </si>
  <si>
    <t>fermage/location</t>
  </si>
  <si>
    <t>travail</t>
  </si>
  <si>
    <t>terre et bâtiments</t>
  </si>
  <si>
    <t>coûts généraux</t>
  </si>
  <si>
    <t>votre compagnie</t>
  </si>
  <si>
    <t>norme</t>
  </si>
  <si>
    <t>Source:</t>
  </si>
  <si>
    <t>Fred de Jongh</t>
  </si>
  <si>
    <t xml:space="preserve">Bizz ID  </t>
  </si>
  <si>
    <t>en association avec:</t>
  </si>
  <si>
    <t>NEPG</t>
  </si>
  <si>
    <t>Coûts par ha</t>
  </si>
  <si>
    <t>- dans le tableau de droite en grisé, remplissez les cases avec vos propres chiffres.</t>
  </si>
  <si>
    <t>engrais</t>
  </si>
  <si>
    <t>Calcul des coûts de production</t>
  </si>
  <si>
    <t xml:space="preserve">Coût de production (€) par: </t>
  </si>
  <si>
    <t>Culture:</t>
  </si>
  <si>
    <t>(choisir ici par tonne ou quintal (100 kg))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</si>
</sst>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000000"/>
      <name val="Segoe UI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165" fontId="3" fillId="0" borderId="2" xfId="1" applyNumberFormat="1" applyFont="1" applyBorder="1"/>
    <xf numFmtId="165" fontId="3" fillId="0" borderId="3" xfId="1" applyNumberFormat="1" applyFont="1" applyBorder="1"/>
    <xf numFmtId="0" fontId="3" fillId="0" borderId="0" xfId="0" applyFont="1" applyAlignment="1">
      <alignment horizontal="center"/>
    </xf>
    <xf numFmtId="165" fontId="3" fillId="0" borderId="4" xfId="1" applyNumberFormat="1" applyFont="1" applyBorder="1" applyAlignment="1"/>
    <xf numFmtId="0" fontId="3" fillId="0" borderId="4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quotePrefix="1"/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10" fillId="0" borderId="4" xfId="0" applyFont="1" applyBorder="1" applyAlignment="1">
      <alignment wrapText="1"/>
    </xf>
    <xf numFmtId="0" fontId="6" fillId="0" borderId="4" xfId="0" applyFont="1" applyBorder="1"/>
    <xf numFmtId="0" fontId="7" fillId="0" borderId="2" xfId="0" applyFont="1" applyBorder="1"/>
    <xf numFmtId="0" fontId="7" fillId="0" borderId="5" xfId="0" applyFont="1" applyBorder="1"/>
    <xf numFmtId="0" fontId="8" fillId="0" borderId="5" xfId="0" applyFont="1" applyBorder="1"/>
    <xf numFmtId="0" fontId="7" fillId="0" borderId="5" xfId="0" applyFont="1" applyBorder="1" applyAlignment="1">
      <alignment horizontal="left" indent="2"/>
    </xf>
    <xf numFmtId="0" fontId="3" fillId="0" borderId="0" xfId="0" applyFont="1" applyAlignment="1" applyProtection="1">
      <alignment horizontal="left"/>
      <protection locked="0"/>
    </xf>
    <xf numFmtId="164" fontId="6" fillId="2" borderId="6" xfId="1" applyFont="1" applyFill="1" applyBorder="1"/>
    <xf numFmtId="0" fontId="2" fillId="2" borderId="0" xfId="0" applyFont="1" applyFill="1" applyAlignment="1">
      <alignment horizontal="center" vertical="top" wrapText="1"/>
    </xf>
    <xf numFmtId="165" fontId="3" fillId="0" borderId="0" xfId="0" applyNumberFormat="1" applyFont="1"/>
    <xf numFmtId="164" fontId="3" fillId="0" borderId="0" xfId="0" applyNumberFormat="1" applyFont="1"/>
    <xf numFmtId="164" fontId="11" fillId="0" borderId="0" xfId="1" applyFont="1"/>
    <xf numFmtId="164" fontId="12" fillId="0" borderId="0" xfId="1" applyFont="1"/>
    <xf numFmtId="0" fontId="12" fillId="0" borderId="0" xfId="0" applyFont="1"/>
    <xf numFmtId="164" fontId="1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0" xfId="0" applyFont="1" applyAlignment="1">
      <alignment horizontal="left" indent="2"/>
    </xf>
    <xf numFmtId="0" fontId="2" fillId="0" borderId="0" xfId="0" applyFont="1"/>
    <xf numFmtId="165" fontId="14" fillId="5" borderId="0" xfId="1" applyNumberFormat="1" applyFont="1" applyFill="1" applyProtection="1">
      <protection locked="0"/>
    </xf>
    <xf numFmtId="165" fontId="7" fillId="3" borderId="0" xfId="1" applyNumberFormat="1" applyFont="1" applyFill="1" applyProtection="1"/>
    <xf numFmtId="165" fontId="15" fillId="4" borderId="10" xfId="1" applyNumberFormat="1" applyFont="1" applyFill="1" applyBorder="1"/>
    <xf numFmtId="0" fontId="14" fillId="4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0" fontId="13" fillId="0" borderId="0" xfId="0" applyFont="1"/>
    <xf numFmtId="164" fontId="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7" fillId="0" borderId="0" xfId="0" applyFont="1"/>
    <xf numFmtId="0" fontId="18" fillId="0" borderId="0" xfId="0" quotePrefix="1" applyFont="1"/>
    <xf numFmtId="0" fontId="7" fillId="0" borderId="0" xfId="0" applyFont="1" applyAlignment="1">
      <alignment horizontal="right" indent="1"/>
    </xf>
    <xf numFmtId="165" fontId="7" fillId="0" borderId="4" xfId="1" applyNumberFormat="1" applyFont="1" applyBorder="1" applyAlignment="1">
      <alignment horizontal="left" indent="2"/>
    </xf>
    <xf numFmtId="165" fontId="7" fillId="3" borderId="4" xfId="1" applyNumberFormat="1" applyFont="1" applyFill="1" applyBorder="1" applyAlignment="1" applyProtection="1">
      <alignment horizontal="left" indent="2"/>
      <protection locked="0"/>
    </xf>
    <xf numFmtId="165" fontId="8" fillId="0" borderId="4" xfId="1" applyNumberFormat="1" applyFont="1" applyBorder="1" applyAlignment="1">
      <alignment horizontal="left" indent="2"/>
    </xf>
    <xf numFmtId="165" fontId="9" fillId="0" borderId="4" xfId="1" applyNumberFormat="1" applyFont="1" applyBorder="1" applyAlignment="1">
      <alignment horizontal="left" indent="2"/>
    </xf>
    <xf numFmtId="165" fontId="9" fillId="3" borderId="4" xfId="1" applyNumberFormat="1" applyFont="1" applyFill="1" applyBorder="1" applyAlignment="1" applyProtection="1">
      <alignment horizontal="left" indent="2"/>
      <protection locked="0"/>
    </xf>
    <xf numFmtId="165" fontId="6" fillId="0" borderId="4" xfId="1" applyNumberFormat="1" applyFont="1" applyBorder="1" applyAlignment="1">
      <alignment horizontal="left" indent="2"/>
    </xf>
    <xf numFmtId="0" fontId="19" fillId="4" borderId="0" xfId="0" applyFont="1" applyFill="1" applyAlignment="1">
      <alignment horizontal="left"/>
    </xf>
    <xf numFmtId="0" fontId="20" fillId="0" borderId="0" xfId="0" applyFont="1"/>
    <xf numFmtId="0" fontId="20" fillId="0" borderId="0" xfId="0" quotePrefix="1" applyFont="1" applyAlignment="1">
      <alignment horizontal="right"/>
    </xf>
    <xf numFmtId="0" fontId="20" fillId="0" borderId="0" xfId="0" applyFont="1" applyAlignment="1">
      <alignment horizontal="right"/>
    </xf>
    <xf numFmtId="0" fontId="22" fillId="0" borderId="0" xfId="2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center" wrapText="1" indent="2"/>
    </xf>
    <xf numFmtId="0" fontId="23" fillId="0" borderId="0" xfId="0" applyFont="1" applyAlignment="1">
      <alignment horizontal="left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U$17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pg.info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bizz-id.n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83820</xdr:rowOff>
    </xdr:from>
    <xdr:to>
      <xdr:col>2</xdr:col>
      <xdr:colOff>381000</xdr:colOff>
      <xdr:row>2</xdr:row>
      <xdr:rowOff>152400</xdr:rowOff>
    </xdr:to>
    <xdr:sp macro="" textlink="">
      <xdr:nvSpPr>
        <xdr:cNvPr id="3" name="Pijl: lin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5940" y="350520"/>
          <a:ext cx="190500" cy="6858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190500</xdr:colOff>
      <xdr:row>3</xdr:row>
      <xdr:rowOff>91440</xdr:rowOff>
    </xdr:from>
    <xdr:to>
      <xdr:col>2</xdr:col>
      <xdr:colOff>381000</xdr:colOff>
      <xdr:row>3</xdr:row>
      <xdr:rowOff>160020</xdr:rowOff>
    </xdr:to>
    <xdr:sp macro="" textlink="">
      <xdr:nvSpPr>
        <xdr:cNvPr id="4" name="Pijl: lin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05940" y="556260"/>
          <a:ext cx="190500" cy="6858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20</xdr:col>
      <xdr:colOff>111644</xdr:colOff>
      <xdr:row>18</xdr:row>
      <xdr:rowOff>152400</xdr:rowOff>
    </xdr:from>
    <xdr:to>
      <xdr:col>20</xdr:col>
      <xdr:colOff>739145</xdr:colOff>
      <xdr:row>27</xdr:row>
      <xdr:rowOff>181112</xdr:rowOff>
    </xdr:to>
    <xdr:sp macro="" textlink="">
      <xdr:nvSpPr>
        <xdr:cNvPr id="5" name="Pijl: gekromd omhoo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10629459" y="4112585"/>
          <a:ext cx="1705112" cy="627501"/>
        </a:xfrm>
        <a:prstGeom prst="curvedUpArrow">
          <a:avLst>
            <a:gd name="adj1" fmla="val 13019"/>
            <a:gd name="adj2" fmla="val 55743"/>
            <a:gd name="adj3" fmla="val 23142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31750</xdr:colOff>
          <xdr:row>16</xdr:row>
          <xdr:rowOff>0</xdr:rowOff>
        </xdr:from>
        <xdr:to>
          <xdr:col>21</xdr:col>
          <xdr:colOff>0</xdr:colOff>
          <xdr:row>17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Conservation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5</xdr:col>
      <xdr:colOff>143934</xdr:colOff>
      <xdr:row>22</xdr:row>
      <xdr:rowOff>110068</xdr:rowOff>
    </xdr:from>
    <xdr:to>
      <xdr:col>7</xdr:col>
      <xdr:colOff>427144</xdr:colOff>
      <xdr:row>24</xdr:row>
      <xdr:rowOff>55644</xdr:rowOff>
    </xdr:to>
    <xdr:pic>
      <xdr:nvPicPr>
        <xdr:cNvPr id="6" name="Afbeelding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067" y="4351868"/>
          <a:ext cx="1193800" cy="360443"/>
        </a:xfrm>
        <a:prstGeom prst="rect">
          <a:avLst/>
        </a:prstGeom>
      </xdr:spPr>
    </xdr:pic>
    <xdr:clientData/>
  </xdr:twoCellAnchor>
  <xdr:twoCellAnchor editAs="oneCell">
    <xdr:from>
      <xdr:col>3</xdr:col>
      <xdr:colOff>194732</xdr:colOff>
      <xdr:row>24</xdr:row>
      <xdr:rowOff>101599</xdr:rowOff>
    </xdr:from>
    <xdr:to>
      <xdr:col>4</xdr:col>
      <xdr:colOff>321732</xdr:colOff>
      <xdr:row>27</xdr:row>
      <xdr:rowOff>130123</xdr:rowOff>
    </xdr:to>
    <xdr:pic>
      <xdr:nvPicPr>
        <xdr:cNvPr id="8" name="Picture 1" descr="logo NE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465" y="4758266"/>
          <a:ext cx="584200" cy="587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pg.info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bizz-id.nl/" TargetMode="External"/><Relationship Id="rId1" Type="http://schemas.openxmlformats.org/officeDocument/2006/relationships/hyperlink" Target="https://nl.linkedin.com/in/freddejongh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F13BB-59B1-481E-9BF8-8812A8C491E0}">
  <sheetPr>
    <outlinePr summaryBelow="0"/>
    <pageSetUpPr fitToPage="1"/>
  </sheetPr>
  <dimension ref="A1:AB28"/>
  <sheetViews>
    <sheetView showGridLines="0" showRowColHeaders="0" tabSelected="1" showRuler="0" zoomScale="90" zoomScaleNormal="90" workbookViewId="0">
      <selection activeCell="T17" sqref="T17"/>
    </sheetView>
  </sheetViews>
  <sheetFormatPr baseColWidth="10" defaultColWidth="9.1796875" defaultRowHeight="14.5" x14ac:dyDescent="0.35"/>
  <cols>
    <col min="1" max="1" width="17.7265625" customWidth="1"/>
    <col min="2" max="2" width="13.7265625" customWidth="1"/>
    <col min="3" max="15" width="6.7265625" customWidth="1"/>
    <col min="16" max="16" width="4.7265625" customWidth="1"/>
    <col min="17" max="17" width="3" customWidth="1"/>
    <col min="18" max="18" width="23.26953125" customWidth="1"/>
    <col min="19" max="19" width="13.26953125" customWidth="1"/>
    <col min="20" max="20" width="12.26953125" customWidth="1"/>
    <col min="21" max="21" width="13" customWidth="1"/>
    <col min="22" max="22" width="19.81640625" style="11" hidden="1" customWidth="1"/>
    <col min="23" max="28" width="8.7265625" style="11" hidden="1" customWidth="1"/>
  </cols>
  <sheetData>
    <row r="1" spans="1:28" ht="5.5" customHeight="1" x14ac:dyDescent="0.35"/>
    <row r="2" spans="1:28" s="15" customFormat="1" ht="23.5" customHeight="1" thickBot="1" x14ac:dyDescent="0.4">
      <c r="A2" s="66" t="s">
        <v>48</v>
      </c>
      <c r="B2" s="66"/>
      <c r="C2" s="66"/>
      <c r="D2" s="66"/>
      <c r="E2" s="66"/>
      <c r="F2" s="66"/>
      <c r="G2" s="66"/>
      <c r="R2" s="16" t="str">
        <f>B4</f>
        <v>pdt conso</v>
      </c>
      <c r="S2" s="65" t="s">
        <v>39</v>
      </c>
      <c r="T2" s="65" t="s">
        <v>38</v>
      </c>
      <c r="V2" s="32"/>
      <c r="W2" s="24" t="s">
        <v>11</v>
      </c>
      <c r="X2" s="24" t="s">
        <v>12</v>
      </c>
      <c r="Y2" s="24" t="s">
        <v>13</v>
      </c>
      <c r="Z2" s="24" t="s">
        <v>14</v>
      </c>
      <c r="AA2" s="24" t="s">
        <v>15</v>
      </c>
      <c r="AB2" s="24" t="s">
        <v>16</v>
      </c>
    </row>
    <row r="3" spans="1:28" ht="15.75" customHeight="1" thickTop="1" thickBot="1" x14ac:dyDescent="0.4">
      <c r="A3" s="1" t="s">
        <v>49</v>
      </c>
      <c r="B3" s="10" t="s">
        <v>0</v>
      </c>
      <c r="D3" s="2" t="s">
        <v>51</v>
      </c>
      <c r="E3" s="2"/>
      <c r="F3" s="2"/>
      <c r="R3" s="18" t="str">
        <f>V3</f>
        <v>rdt/ha (kg)</v>
      </c>
      <c r="S3" s="48">
        <f>HLOOKUP($R$2,$W$2:$AB$18,2,)</f>
        <v>50000</v>
      </c>
      <c r="T3" s="49">
        <v>50000</v>
      </c>
      <c r="V3" s="11" t="s">
        <v>17</v>
      </c>
      <c r="W3" s="25">
        <v>52000</v>
      </c>
      <c r="X3" s="25">
        <v>9500</v>
      </c>
      <c r="Y3" s="25">
        <v>50000</v>
      </c>
      <c r="Z3" s="25">
        <v>40000</v>
      </c>
      <c r="AA3" s="25">
        <v>80000</v>
      </c>
      <c r="AB3" s="25">
        <v>7000</v>
      </c>
    </row>
    <row r="4" spans="1:28" ht="15.75" customHeight="1" thickTop="1" x14ac:dyDescent="0.35">
      <c r="A4" s="1" t="s">
        <v>50</v>
      </c>
      <c r="B4" s="22" t="s">
        <v>13</v>
      </c>
      <c r="D4" s="2" t="s">
        <v>4</v>
      </c>
      <c r="R4" s="19" t="str">
        <f>V4</f>
        <v>prix de vente (€/100kg)</v>
      </c>
      <c r="S4" s="48">
        <f>HLOOKUP($R$2,$W$2:$AB$18,3,)</f>
        <v>21</v>
      </c>
      <c r="T4" s="49">
        <v>20</v>
      </c>
      <c r="V4" s="11" t="s">
        <v>18</v>
      </c>
      <c r="W4" s="26">
        <v>11.85</v>
      </c>
      <c r="X4" s="26">
        <v>16.920000000000002</v>
      </c>
      <c r="Y4" s="43">
        <f>IF(U17=TRUE,21,14)</f>
        <v>21</v>
      </c>
      <c r="Z4" s="26">
        <v>26.79</v>
      </c>
      <c r="AA4" s="26">
        <v>4.3</v>
      </c>
      <c r="AB4" s="26">
        <v>16.829999999999998</v>
      </c>
    </row>
    <row r="5" spans="1:28" ht="15.75" customHeight="1" x14ac:dyDescent="0.35">
      <c r="A5" s="1"/>
      <c r="B5" s="11"/>
      <c r="D5" s="59" t="s">
        <v>45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  <c r="R5" s="20" t="str">
        <f>V5</f>
        <v>rdt/ha (euro)</v>
      </c>
      <c r="S5" s="48">
        <f>HLOOKUP($R$2,$W$2:$AB$18,4,)</f>
        <v>10500</v>
      </c>
      <c r="T5" s="50">
        <f t="shared" ref="T5" si="0">SUM(T6:T8)</f>
        <v>10000</v>
      </c>
      <c r="V5" s="33" t="s">
        <v>19</v>
      </c>
      <c r="W5" s="27">
        <f>SUM(W6:W8)</f>
        <v>6162</v>
      </c>
      <c r="X5" s="27">
        <f t="shared" ref="X5:AB5" si="1">SUM(X6:X8)</f>
        <v>1781.4000000000003</v>
      </c>
      <c r="Y5" s="27">
        <f t="shared" si="1"/>
        <v>10500</v>
      </c>
      <c r="Z5" s="27">
        <f t="shared" si="1"/>
        <v>10716</v>
      </c>
      <c r="AA5" s="27">
        <f t="shared" si="1"/>
        <v>3440</v>
      </c>
      <c r="AB5" s="27">
        <f t="shared" si="1"/>
        <v>1243.0999999999999</v>
      </c>
    </row>
    <row r="6" spans="1:28" ht="15.75" customHeight="1" x14ac:dyDescent="0.35">
      <c r="C6" s="3" t="s">
        <v>5</v>
      </c>
      <c r="D6" s="4">
        <f>IF(T9&gt;0,T9-200,S9-200)</f>
        <v>7205</v>
      </c>
      <c r="E6" s="4">
        <f>D6+50</f>
        <v>7255</v>
      </c>
      <c r="F6" s="4">
        <f t="shared" ref="F6:O6" si="2">E6+50</f>
        <v>7305</v>
      </c>
      <c r="G6" s="4">
        <f t="shared" si="2"/>
        <v>7355</v>
      </c>
      <c r="H6" s="4">
        <f t="shared" si="2"/>
        <v>7405</v>
      </c>
      <c r="I6" s="4">
        <f t="shared" si="2"/>
        <v>7455</v>
      </c>
      <c r="J6" s="4">
        <f t="shared" si="2"/>
        <v>7505</v>
      </c>
      <c r="K6" s="4">
        <f t="shared" si="2"/>
        <v>7555</v>
      </c>
      <c r="L6" s="4">
        <f t="shared" si="2"/>
        <v>7605</v>
      </c>
      <c r="M6" s="4">
        <f t="shared" si="2"/>
        <v>7655</v>
      </c>
      <c r="N6" s="4">
        <f t="shared" si="2"/>
        <v>7705</v>
      </c>
      <c r="O6" s="4">
        <f t="shared" si="2"/>
        <v>7755</v>
      </c>
      <c r="R6" s="21" t="str">
        <f>V6</f>
        <v>production principale</v>
      </c>
      <c r="S6" s="48">
        <f>HLOOKUP($R$2,$W$2:$AB$18,5,)</f>
        <v>10500</v>
      </c>
      <c r="T6" s="51">
        <f t="shared" ref="T6" si="3">T3*T4/100</f>
        <v>10000</v>
      </c>
      <c r="V6" s="34" t="s">
        <v>20</v>
      </c>
      <c r="W6" s="28">
        <f>W3*W4/100</f>
        <v>6162</v>
      </c>
      <c r="X6" s="28">
        <f t="shared" ref="X6:AB6" si="4">X3*X4/100</f>
        <v>1607.4000000000003</v>
      </c>
      <c r="Y6" s="28">
        <f t="shared" si="4"/>
        <v>10500</v>
      </c>
      <c r="Z6" s="28">
        <f t="shared" si="4"/>
        <v>10716</v>
      </c>
      <c r="AA6" s="28">
        <f t="shared" si="4"/>
        <v>3440</v>
      </c>
      <c r="AB6" s="28">
        <f t="shared" si="4"/>
        <v>1178.0999999999999</v>
      </c>
    </row>
    <row r="7" spans="1:28" ht="15.75" customHeight="1" x14ac:dyDescent="0.35">
      <c r="C7" s="3" t="s">
        <v>6</v>
      </c>
      <c r="D7" s="5">
        <f>T20</f>
        <v>3300</v>
      </c>
      <c r="E7" s="5">
        <f>D7</f>
        <v>3300</v>
      </c>
      <c r="F7" s="5">
        <f t="shared" ref="F7:H7" si="5">E7</f>
        <v>3300</v>
      </c>
      <c r="G7" s="5">
        <f t="shared" si="5"/>
        <v>3300</v>
      </c>
      <c r="H7" s="5">
        <f t="shared" si="5"/>
        <v>3300</v>
      </c>
      <c r="I7" s="5">
        <f t="shared" ref="I7:N7" si="6">H7</f>
        <v>3300</v>
      </c>
      <c r="J7" s="5">
        <f t="shared" si="6"/>
        <v>3300</v>
      </c>
      <c r="K7" s="5">
        <f t="shared" si="6"/>
        <v>3300</v>
      </c>
      <c r="L7" s="5">
        <f t="shared" si="6"/>
        <v>3300</v>
      </c>
      <c r="M7" s="5">
        <f t="shared" si="6"/>
        <v>3300</v>
      </c>
      <c r="N7" s="5">
        <f t="shared" si="6"/>
        <v>3300</v>
      </c>
      <c r="O7" s="5">
        <f>N7</f>
        <v>3300</v>
      </c>
      <c r="R7" s="21" t="str">
        <f t="shared" ref="R7:R17" si="7">V7</f>
        <v>sous-produit</v>
      </c>
      <c r="S7" s="48">
        <f>HLOOKUP($R$2,$W$2:$AB$18,6,)</f>
        <v>0</v>
      </c>
      <c r="T7" s="49">
        <v>0</v>
      </c>
      <c r="V7" s="34" t="s">
        <v>21</v>
      </c>
      <c r="W7" s="29"/>
      <c r="X7" s="30">
        <v>174</v>
      </c>
      <c r="Y7" s="29"/>
      <c r="Z7" s="29"/>
      <c r="AA7" s="29"/>
      <c r="AB7" s="30">
        <v>65</v>
      </c>
    </row>
    <row r="8" spans="1:28" ht="15.75" customHeight="1" x14ac:dyDescent="0.35">
      <c r="C8" s="6"/>
      <c r="D8" s="7">
        <f>D6+D7</f>
        <v>10505</v>
      </c>
      <c r="E8" s="7">
        <f t="shared" ref="E8:L8" si="8">E6+E7</f>
        <v>10555</v>
      </c>
      <c r="F8" s="7">
        <f t="shared" si="8"/>
        <v>10605</v>
      </c>
      <c r="G8" s="7">
        <f t="shared" si="8"/>
        <v>10655</v>
      </c>
      <c r="H8" s="7">
        <f t="shared" si="8"/>
        <v>10705</v>
      </c>
      <c r="I8" s="7">
        <f t="shared" si="8"/>
        <v>10755</v>
      </c>
      <c r="J8" s="7">
        <f t="shared" si="8"/>
        <v>10805</v>
      </c>
      <c r="K8" s="7">
        <f t="shared" si="8"/>
        <v>10855</v>
      </c>
      <c r="L8" s="7">
        <f t="shared" si="8"/>
        <v>10905</v>
      </c>
      <c r="M8" s="7">
        <f t="shared" ref="M8:N8" si="9">M6+M7</f>
        <v>10955</v>
      </c>
      <c r="N8" s="7">
        <f t="shared" si="9"/>
        <v>11005</v>
      </c>
      <c r="O8" s="7">
        <f t="shared" ref="O8" si="10">O6+O7</f>
        <v>11055</v>
      </c>
      <c r="R8" s="21" t="str">
        <f t="shared" si="7"/>
        <v>autres</v>
      </c>
      <c r="S8" s="48">
        <f>HLOOKUP($R$2,$W$2:$AB$18,7,)</f>
        <v>0</v>
      </c>
      <c r="T8" s="49"/>
      <c r="V8" s="34" t="s">
        <v>22</v>
      </c>
      <c r="W8" s="29"/>
      <c r="X8" s="29"/>
      <c r="Y8" s="29"/>
      <c r="Z8" s="29"/>
      <c r="AA8" s="29"/>
      <c r="AB8" s="29"/>
    </row>
    <row r="9" spans="1:28" ht="15.75" customHeight="1" x14ac:dyDescent="0.35">
      <c r="B9" s="62" t="s">
        <v>7</v>
      </c>
      <c r="C9" s="8">
        <f>IF(OR($B$4="tarwe",$B$4="gerst"),S3/1000-2,S3/1000-15)</f>
        <v>35</v>
      </c>
      <c r="D9" s="9">
        <f t="shared" ref="D9:E17" si="11">IF($B$3="ton",D$8/$C9,D$8/$C9/10)</f>
        <v>30.014285714285716</v>
      </c>
      <c r="E9" s="9">
        <f t="shared" si="11"/>
        <v>30.157142857142855</v>
      </c>
      <c r="F9" s="9">
        <f t="shared" ref="F9:O9" si="12">IF($B$3="ton",F$8/$C9,F$8/$C9/10)</f>
        <v>30.3</v>
      </c>
      <c r="G9" s="9">
        <f t="shared" si="12"/>
        <v>30.442857142857143</v>
      </c>
      <c r="H9" s="9">
        <f t="shared" si="12"/>
        <v>30.585714285714282</v>
      </c>
      <c r="I9" s="9">
        <f t="shared" si="12"/>
        <v>30.728571428571428</v>
      </c>
      <c r="J9" s="9">
        <f t="shared" si="12"/>
        <v>30.871428571428574</v>
      </c>
      <c r="K9" s="9">
        <f t="shared" si="12"/>
        <v>31.014285714285716</v>
      </c>
      <c r="L9" s="9">
        <f t="shared" si="12"/>
        <v>31.157142857142855</v>
      </c>
      <c r="M9" s="9">
        <f t="shared" si="12"/>
        <v>31.3</v>
      </c>
      <c r="N9" s="9">
        <f t="shared" si="12"/>
        <v>31.442857142857143</v>
      </c>
      <c r="O9" s="9">
        <f t="shared" si="12"/>
        <v>31.585714285714282</v>
      </c>
      <c r="R9" s="20" t="str">
        <f t="shared" si="7"/>
        <v>charges variables (euro/ha)</v>
      </c>
      <c r="S9" s="48">
        <f>HLOOKUP($R$2,$W$2:$AB$18,8,)</f>
        <v>7023</v>
      </c>
      <c r="T9" s="50">
        <f>SUM(T10:T17)</f>
        <v>7405</v>
      </c>
      <c r="V9" s="33" t="s">
        <v>23</v>
      </c>
      <c r="W9" s="27">
        <f>SUM(W10:W15)</f>
        <v>2465</v>
      </c>
      <c r="X9" s="27">
        <f t="shared" ref="X9:AB9" si="13">SUM(X10:X15)</f>
        <v>714</v>
      </c>
      <c r="Y9" s="27">
        <f>SUM(Y10:Y17)</f>
        <v>7023</v>
      </c>
      <c r="Z9" s="27">
        <f t="shared" si="13"/>
        <v>3723</v>
      </c>
      <c r="AA9" s="27">
        <f t="shared" si="13"/>
        <v>1225</v>
      </c>
      <c r="AB9" s="27">
        <f t="shared" si="13"/>
        <v>548.5</v>
      </c>
    </row>
    <row r="10" spans="1:28" ht="15.75" customHeight="1" x14ac:dyDescent="0.35">
      <c r="B10" s="63"/>
      <c r="C10" s="8">
        <f>IF(OR($B$4="tarwe",$B$4="gerst"),C9+0.5,C9+5)</f>
        <v>40</v>
      </c>
      <c r="D10" s="9">
        <f t="shared" si="11"/>
        <v>26.262499999999999</v>
      </c>
      <c r="E10" s="9">
        <f t="shared" si="11"/>
        <v>26.387499999999999</v>
      </c>
      <c r="F10" s="9">
        <f t="shared" ref="F10:O17" si="14">IF($B$3="ton",F$8/$C10,F$8/$C10/10)</f>
        <v>26.512499999999999</v>
      </c>
      <c r="G10" s="9">
        <f t="shared" si="14"/>
        <v>26.637499999999999</v>
      </c>
      <c r="H10" s="9">
        <f t="shared" si="14"/>
        <v>26.762499999999999</v>
      </c>
      <c r="I10" s="9">
        <f t="shared" si="14"/>
        <v>26.887499999999999</v>
      </c>
      <c r="J10" s="9">
        <f t="shared" si="14"/>
        <v>27.012499999999999</v>
      </c>
      <c r="K10" s="9">
        <f t="shared" si="14"/>
        <v>27.137499999999999</v>
      </c>
      <c r="L10" s="9">
        <f t="shared" si="14"/>
        <v>27.262499999999999</v>
      </c>
      <c r="M10" s="9">
        <f t="shared" si="14"/>
        <v>27.387499999999999</v>
      </c>
      <c r="N10" s="9">
        <f t="shared" si="14"/>
        <v>27.512499999999999</v>
      </c>
      <c r="O10" s="9">
        <f t="shared" si="14"/>
        <v>27.637499999999999</v>
      </c>
      <c r="R10" s="21" t="str">
        <f t="shared" si="7"/>
        <v>plants / semences</v>
      </c>
      <c r="S10" s="48">
        <f>HLOOKUP($R$2,$W$2:$AB$18,9,)</f>
        <v>1150</v>
      </c>
      <c r="T10" s="52">
        <v>1150</v>
      </c>
      <c r="V10" s="34" t="s">
        <v>24</v>
      </c>
      <c r="W10" s="30">
        <v>793</v>
      </c>
      <c r="X10" s="30">
        <v>114</v>
      </c>
      <c r="Y10" s="30">
        <v>1150</v>
      </c>
      <c r="Z10" s="30">
        <v>1821</v>
      </c>
      <c r="AA10" s="30">
        <v>258</v>
      </c>
      <c r="AB10" s="30">
        <v>98.5</v>
      </c>
    </row>
    <row r="11" spans="1:28" ht="15.75" customHeight="1" x14ac:dyDescent="0.35">
      <c r="B11" s="63"/>
      <c r="C11" s="8">
        <f t="shared" ref="C11:C17" si="15">IF(OR($B$4="tarwe",$B$4="gerst"),C10+0.5,C10+5)</f>
        <v>45</v>
      </c>
      <c r="D11" s="9">
        <f t="shared" si="11"/>
        <v>23.344444444444445</v>
      </c>
      <c r="E11" s="9">
        <f t="shared" si="11"/>
        <v>23.455555555555556</v>
      </c>
      <c r="F11" s="9">
        <f t="shared" si="14"/>
        <v>23.566666666666666</v>
      </c>
      <c r="G11" s="9">
        <f t="shared" si="14"/>
        <v>23.677777777777777</v>
      </c>
      <c r="H11" s="9">
        <f t="shared" si="14"/>
        <v>23.788888888888888</v>
      </c>
      <c r="I11" s="9">
        <f t="shared" si="14"/>
        <v>23.9</v>
      </c>
      <c r="J11" s="9">
        <f t="shared" si="14"/>
        <v>24.011111111111113</v>
      </c>
      <c r="K11" s="9">
        <f t="shared" si="14"/>
        <v>24.122222222222224</v>
      </c>
      <c r="L11" s="9">
        <f t="shared" si="14"/>
        <v>24.233333333333334</v>
      </c>
      <c r="M11" s="9">
        <f t="shared" si="14"/>
        <v>24.344444444444445</v>
      </c>
      <c r="N11" s="9">
        <f t="shared" si="14"/>
        <v>24.455555555555556</v>
      </c>
      <c r="O11" s="9">
        <f t="shared" si="14"/>
        <v>24.566666666666666</v>
      </c>
      <c r="R11" s="21" t="str">
        <f t="shared" si="7"/>
        <v>phytos</v>
      </c>
      <c r="S11" s="48">
        <f>HLOOKUP($R$2,$W$2:$AB$18,10,)</f>
        <v>1025</v>
      </c>
      <c r="T11" s="52">
        <v>1035</v>
      </c>
      <c r="V11" s="34" t="s">
        <v>25</v>
      </c>
      <c r="W11" s="30">
        <v>718</v>
      </c>
      <c r="X11" s="30">
        <v>270</v>
      </c>
      <c r="Y11" s="30">
        <v>1025</v>
      </c>
      <c r="Z11" s="30">
        <v>867</v>
      </c>
      <c r="AA11" s="30">
        <v>368</v>
      </c>
      <c r="AB11" s="30">
        <v>146</v>
      </c>
    </row>
    <row r="12" spans="1:28" ht="15.75" customHeight="1" x14ac:dyDescent="0.35">
      <c r="B12" s="63"/>
      <c r="C12" s="8">
        <f t="shared" si="15"/>
        <v>50</v>
      </c>
      <c r="D12" s="9">
        <f t="shared" si="11"/>
        <v>21.009999999999998</v>
      </c>
      <c r="E12" s="9">
        <f t="shared" si="11"/>
        <v>21.11</v>
      </c>
      <c r="F12" s="9">
        <f t="shared" si="14"/>
        <v>21.21</v>
      </c>
      <c r="G12" s="9">
        <f t="shared" si="14"/>
        <v>21.31</v>
      </c>
      <c r="H12" s="9">
        <f t="shared" si="14"/>
        <v>21.41</v>
      </c>
      <c r="I12" s="9">
        <f t="shared" si="14"/>
        <v>21.509999999999998</v>
      </c>
      <c r="J12" s="9">
        <f t="shared" si="14"/>
        <v>21.61</v>
      </c>
      <c r="K12" s="9">
        <f t="shared" si="14"/>
        <v>21.71</v>
      </c>
      <c r="L12" s="9">
        <f t="shared" si="14"/>
        <v>21.81</v>
      </c>
      <c r="M12" s="9">
        <f t="shared" si="14"/>
        <v>21.91</v>
      </c>
      <c r="N12" s="9">
        <f t="shared" si="14"/>
        <v>22.009999999999998</v>
      </c>
      <c r="O12" s="9">
        <f t="shared" si="14"/>
        <v>22.11</v>
      </c>
      <c r="R12" s="21" t="str">
        <f t="shared" si="7"/>
        <v>engrais</v>
      </c>
      <c r="S12" s="48">
        <f>HLOOKUP($R$2,$W$2:$AB$18,11,)</f>
        <v>450</v>
      </c>
      <c r="T12" s="52">
        <v>450</v>
      </c>
      <c r="V12" s="34" t="s">
        <v>47</v>
      </c>
      <c r="W12" s="30">
        <v>328</v>
      </c>
      <c r="X12" s="30">
        <v>100</v>
      </c>
      <c r="Y12" s="30">
        <v>450</v>
      </c>
      <c r="Z12" s="30">
        <v>386</v>
      </c>
      <c r="AA12" s="30">
        <v>186</v>
      </c>
      <c r="AB12" s="30">
        <v>133</v>
      </c>
    </row>
    <row r="13" spans="1:28" ht="15.75" customHeight="1" x14ac:dyDescent="0.35">
      <c r="B13" s="63"/>
      <c r="C13" s="8">
        <f t="shared" si="15"/>
        <v>55</v>
      </c>
      <c r="D13" s="9">
        <f t="shared" si="11"/>
        <v>19.100000000000001</v>
      </c>
      <c r="E13" s="9">
        <f t="shared" si="11"/>
        <v>19.190909090909091</v>
      </c>
      <c r="F13" s="9">
        <f t="shared" si="14"/>
        <v>19.281818181818181</v>
      </c>
      <c r="G13" s="9">
        <f t="shared" si="14"/>
        <v>19.372727272727271</v>
      </c>
      <c r="H13" s="9">
        <f t="shared" si="14"/>
        <v>19.463636363636361</v>
      </c>
      <c r="I13" s="9">
        <f t="shared" si="14"/>
        <v>19.554545454545455</v>
      </c>
      <c r="J13" s="9">
        <f t="shared" si="14"/>
        <v>19.645454545454548</v>
      </c>
      <c r="K13" s="9">
        <f t="shared" si="14"/>
        <v>19.736363636363638</v>
      </c>
      <c r="L13" s="9">
        <f t="shared" si="14"/>
        <v>19.827272727272728</v>
      </c>
      <c r="M13" s="9">
        <f t="shared" si="14"/>
        <v>19.918181818181818</v>
      </c>
      <c r="N13" s="9">
        <f t="shared" si="14"/>
        <v>20.009090909090908</v>
      </c>
      <c r="O13" s="9">
        <f t="shared" si="14"/>
        <v>20.100000000000001</v>
      </c>
      <c r="R13" s="21" t="str">
        <f t="shared" si="7"/>
        <v>énergie</v>
      </c>
      <c r="S13" s="48">
        <f>HLOOKUP($R$2,$W$2:$AB$18,12,)</f>
        <v>250</v>
      </c>
      <c r="T13" s="52">
        <v>300</v>
      </c>
      <c r="V13" s="34" t="s">
        <v>26</v>
      </c>
      <c r="W13" s="30">
        <v>97</v>
      </c>
      <c r="X13" s="29"/>
      <c r="Y13" s="30">
        <v>250</v>
      </c>
      <c r="Z13" s="30">
        <v>15</v>
      </c>
      <c r="AA13" s="29"/>
      <c r="AB13" s="29"/>
    </row>
    <row r="14" spans="1:28" ht="15.75" customHeight="1" x14ac:dyDescent="0.35">
      <c r="B14" s="63"/>
      <c r="C14" s="8">
        <f t="shared" si="15"/>
        <v>60</v>
      </c>
      <c r="D14" s="9">
        <f t="shared" si="11"/>
        <v>17.508333333333333</v>
      </c>
      <c r="E14" s="9">
        <f t="shared" si="11"/>
        <v>17.591666666666665</v>
      </c>
      <c r="F14" s="9">
        <f t="shared" si="14"/>
        <v>17.675000000000001</v>
      </c>
      <c r="G14" s="9">
        <f t="shared" si="14"/>
        <v>17.758333333333333</v>
      </c>
      <c r="H14" s="9">
        <f t="shared" si="14"/>
        <v>17.841666666666665</v>
      </c>
      <c r="I14" s="9">
        <f t="shared" si="14"/>
        <v>17.925000000000001</v>
      </c>
      <c r="J14" s="9">
        <f t="shared" si="14"/>
        <v>18.008333333333333</v>
      </c>
      <c r="K14" s="9">
        <f t="shared" si="14"/>
        <v>18.091666666666665</v>
      </c>
      <c r="L14" s="9">
        <f t="shared" si="14"/>
        <v>18.175000000000001</v>
      </c>
      <c r="M14" s="9">
        <f t="shared" si="14"/>
        <v>18.258333333333333</v>
      </c>
      <c r="N14" s="9">
        <f t="shared" si="14"/>
        <v>18.341666666666665</v>
      </c>
      <c r="O14" s="9">
        <f t="shared" si="14"/>
        <v>18.425000000000001</v>
      </c>
      <c r="R14" s="21" t="str">
        <f t="shared" si="7"/>
        <v>entreprise</v>
      </c>
      <c r="S14" s="48">
        <f>HLOOKUP($R$2,$W$2:$AB$18,13,)</f>
        <v>250</v>
      </c>
      <c r="T14" s="52">
        <v>250</v>
      </c>
      <c r="V14" s="34" t="s">
        <v>27</v>
      </c>
      <c r="W14" s="30">
        <v>415</v>
      </c>
      <c r="X14" s="30">
        <v>200</v>
      </c>
      <c r="Y14" s="30">
        <v>250</v>
      </c>
      <c r="Z14" s="30">
        <v>172</v>
      </c>
      <c r="AA14" s="30">
        <v>390</v>
      </c>
      <c r="AB14" s="30">
        <v>107</v>
      </c>
    </row>
    <row r="15" spans="1:28" ht="15.75" customHeight="1" x14ac:dyDescent="0.35">
      <c r="B15" s="63"/>
      <c r="C15" s="8">
        <f t="shared" si="15"/>
        <v>65</v>
      </c>
      <c r="D15" s="9">
        <f t="shared" si="11"/>
        <v>16.161538461538463</v>
      </c>
      <c r="E15" s="9">
        <f t="shared" si="11"/>
        <v>16.238461538461539</v>
      </c>
      <c r="F15" s="9">
        <f t="shared" si="14"/>
        <v>16.315384615384616</v>
      </c>
      <c r="G15" s="9">
        <f t="shared" si="14"/>
        <v>16.392307692307693</v>
      </c>
      <c r="H15" s="9">
        <f t="shared" si="14"/>
        <v>16.469230769230769</v>
      </c>
      <c r="I15" s="9">
        <f t="shared" si="14"/>
        <v>16.546153846153846</v>
      </c>
      <c r="J15" s="9">
        <f t="shared" si="14"/>
        <v>16.623076923076923</v>
      </c>
      <c r="K15" s="9">
        <f t="shared" si="14"/>
        <v>16.7</v>
      </c>
      <c r="L15" s="9">
        <f t="shared" si="14"/>
        <v>16.776923076923076</v>
      </c>
      <c r="M15" s="9">
        <f t="shared" si="14"/>
        <v>16.853846153846156</v>
      </c>
      <c r="N15" s="9">
        <f t="shared" si="14"/>
        <v>16.930769230769233</v>
      </c>
      <c r="O15" s="9">
        <f t="shared" si="14"/>
        <v>17.007692307692306</v>
      </c>
      <c r="R15" s="21" t="str">
        <f t="shared" si="7"/>
        <v>autres</v>
      </c>
      <c r="S15" s="48">
        <f>HLOOKUP($R$2,$W$2:$AB$18,14,)</f>
        <v>148</v>
      </c>
      <c r="T15" s="52">
        <v>170</v>
      </c>
      <c r="V15" s="34" t="s">
        <v>22</v>
      </c>
      <c r="W15" s="30">
        <v>114</v>
      </c>
      <c r="X15" s="30">
        <v>30</v>
      </c>
      <c r="Y15" s="30">
        <v>148</v>
      </c>
      <c r="Z15" s="30">
        <v>462</v>
      </c>
      <c r="AA15" s="30">
        <v>23</v>
      </c>
      <c r="AB15" s="30">
        <v>64</v>
      </c>
    </row>
    <row r="16" spans="1:28" ht="15.75" customHeight="1" x14ac:dyDescent="0.35">
      <c r="B16" s="63"/>
      <c r="C16" s="8">
        <f t="shared" si="15"/>
        <v>70</v>
      </c>
      <c r="D16" s="9">
        <f t="shared" si="11"/>
        <v>15.007142857142858</v>
      </c>
      <c r="E16" s="9">
        <f t="shared" si="11"/>
        <v>15.078571428571427</v>
      </c>
      <c r="F16" s="9">
        <f t="shared" si="14"/>
        <v>15.15</v>
      </c>
      <c r="G16" s="9">
        <f t="shared" si="14"/>
        <v>15.221428571428572</v>
      </c>
      <c r="H16" s="9">
        <f t="shared" si="14"/>
        <v>15.292857142857141</v>
      </c>
      <c r="I16" s="9">
        <f t="shared" si="14"/>
        <v>15.364285714285714</v>
      </c>
      <c r="J16" s="9">
        <f t="shared" si="14"/>
        <v>15.435714285714287</v>
      </c>
      <c r="K16" s="9">
        <f t="shared" si="14"/>
        <v>15.507142857142858</v>
      </c>
      <c r="L16" s="9">
        <f t="shared" si="14"/>
        <v>15.578571428571427</v>
      </c>
      <c r="M16" s="9">
        <f t="shared" si="14"/>
        <v>15.65</v>
      </c>
      <c r="N16" s="9">
        <f t="shared" si="14"/>
        <v>15.721428571428572</v>
      </c>
      <c r="O16" s="9">
        <f t="shared" si="14"/>
        <v>15.792857142857141</v>
      </c>
      <c r="R16" s="21" t="str">
        <f t="shared" si="7"/>
        <v>irrigation</v>
      </c>
      <c r="S16" s="48">
        <f>HLOOKUP($R$2,$W$2:$AB$18,15,)</f>
        <v>750</v>
      </c>
      <c r="T16" s="52">
        <v>750</v>
      </c>
      <c r="V16" s="34" t="s">
        <v>28</v>
      </c>
      <c r="W16" s="30"/>
      <c r="X16" s="30"/>
      <c r="Y16" s="30">
        <v>750</v>
      </c>
      <c r="Z16" s="30"/>
      <c r="AA16" s="30"/>
      <c r="AB16" s="30"/>
    </row>
    <row r="17" spans="2:28" ht="15.75" customHeight="1" x14ac:dyDescent="0.35">
      <c r="B17" s="64"/>
      <c r="C17" s="8">
        <f t="shared" si="15"/>
        <v>75</v>
      </c>
      <c r="D17" s="9">
        <f t="shared" si="11"/>
        <v>14.006666666666666</v>
      </c>
      <c r="E17" s="9">
        <f t="shared" si="11"/>
        <v>14.073333333333332</v>
      </c>
      <c r="F17" s="9">
        <f t="shared" si="14"/>
        <v>14.14</v>
      </c>
      <c r="G17" s="9">
        <f t="shared" si="14"/>
        <v>14.206666666666667</v>
      </c>
      <c r="H17" s="9">
        <f t="shared" si="14"/>
        <v>14.273333333333332</v>
      </c>
      <c r="I17" s="9">
        <f t="shared" si="14"/>
        <v>14.34</v>
      </c>
      <c r="J17" s="9">
        <f t="shared" si="14"/>
        <v>14.406666666666666</v>
      </c>
      <c r="K17" s="9">
        <f t="shared" si="14"/>
        <v>14.473333333333333</v>
      </c>
      <c r="L17" s="9">
        <f t="shared" si="14"/>
        <v>14.540000000000001</v>
      </c>
      <c r="M17" s="9">
        <f t="shared" si="14"/>
        <v>14.606666666666666</v>
      </c>
      <c r="N17" s="9">
        <f t="shared" si="14"/>
        <v>14.673333333333332</v>
      </c>
      <c r="O17" s="9">
        <f t="shared" si="14"/>
        <v>14.74</v>
      </c>
      <c r="R17" s="21" t="str">
        <f t="shared" si="7"/>
        <v>coûts de conservation</v>
      </c>
      <c r="S17" s="48">
        <f>HLOOKUP($R$2,$W$2:$AB$18,16,)</f>
        <v>3000</v>
      </c>
      <c r="T17" s="52">
        <v>3300</v>
      </c>
      <c r="U17" s="44" t="b">
        <v>1</v>
      </c>
      <c r="V17" s="34" t="s">
        <v>29</v>
      </c>
      <c r="W17" s="30"/>
      <c r="X17" s="30"/>
      <c r="Y17" s="43">
        <f>IF(U17=TRUE,3000,0)</f>
        <v>3000</v>
      </c>
      <c r="Z17" s="30"/>
      <c r="AA17" s="30"/>
      <c r="AB17" s="30"/>
    </row>
    <row r="18" spans="2:28" x14ac:dyDescent="0.35">
      <c r="B18" s="46"/>
      <c r="R18" s="17" t="str">
        <f>V18</f>
        <v>Solde/ha (euro)</v>
      </c>
      <c r="S18" s="48">
        <f>HLOOKUP($R$2,$W$2:$AB$18,17,)</f>
        <v>3477</v>
      </c>
      <c r="T18" s="53">
        <f t="shared" ref="T18" si="16">T5-T9</f>
        <v>2595</v>
      </c>
      <c r="U18" s="42" t="b">
        <v>1</v>
      </c>
      <c r="V18" s="35" t="s">
        <v>30</v>
      </c>
      <c r="W18" s="31">
        <f>W5-W9</f>
        <v>3697</v>
      </c>
      <c r="X18" s="31">
        <f t="shared" ref="X18:AB18" si="17">X5-X9</f>
        <v>1067.4000000000003</v>
      </c>
      <c r="Y18" s="31">
        <f t="shared" si="17"/>
        <v>3477</v>
      </c>
      <c r="Z18" s="31">
        <f t="shared" si="17"/>
        <v>6993</v>
      </c>
      <c r="AA18" s="31">
        <f t="shared" si="17"/>
        <v>2215</v>
      </c>
      <c r="AB18" s="31">
        <f t="shared" si="17"/>
        <v>694.59999999999991</v>
      </c>
    </row>
    <row r="19" spans="2:28" x14ac:dyDescent="0.35">
      <c r="B19" s="45" t="s">
        <v>8</v>
      </c>
    </row>
    <row r="20" spans="2:28" ht="15" thickBot="1" x14ac:dyDescent="0.4">
      <c r="B20" s="46" t="s">
        <v>10</v>
      </c>
      <c r="R20" s="47" t="s">
        <v>31</v>
      </c>
      <c r="S20" s="14" t="s">
        <v>1</v>
      </c>
      <c r="T20" s="37">
        <f>T28</f>
        <v>3300</v>
      </c>
    </row>
    <row r="21" spans="2:28" ht="15.5" thickTop="1" thickBot="1" x14ac:dyDescent="0.4">
      <c r="B21" s="46" t="s">
        <v>9</v>
      </c>
      <c r="R21" s="47" t="s">
        <v>32</v>
      </c>
      <c r="S21" s="13" t="str">
        <f>B3</f>
        <v>100 kg</v>
      </c>
      <c r="T21" s="23">
        <f>IF(T3=0,"-",IF(B3="ton",(T9+T20)/T3*1000,(T9+T20)/T3*100))</f>
        <v>21.41</v>
      </c>
    </row>
    <row r="22" spans="2:28" ht="15" thickTop="1" x14ac:dyDescent="0.35">
      <c r="B22" s="46" t="s">
        <v>46</v>
      </c>
    </row>
    <row r="23" spans="2:28" ht="18.5" x14ac:dyDescent="0.45">
      <c r="B23" s="12"/>
      <c r="R23" s="54" t="s">
        <v>33</v>
      </c>
      <c r="S23" s="39" t="s">
        <v>34</v>
      </c>
      <c r="T23" s="36">
        <v>1250</v>
      </c>
      <c r="V23"/>
      <c r="W23"/>
      <c r="X23"/>
      <c r="Y23"/>
      <c r="Z23"/>
      <c r="AA23"/>
      <c r="AB23"/>
    </row>
    <row r="24" spans="2:28" x14ac:dyDescent="0.35">
      <c r="B24" s="56" t="s">
        <v>40</v>
      </c>
      <c r="C24" s="58" t="s">
        <v>41</v>
      </c>
      <c r="D24" s="55"/>
      <c r="E24" s="58" t="s">
        <v>42</v>
      </c>
      <c r="F24" s="55"/>
      <c r="R24" s="39"/>
      <c r="S24" s="39" t="s">
        <v>35</v>
      </c>
      <c r="T24" s="36">
        <v>600</v>
      </c>
      <c r="V24"/>
      <c r="W24"/>
      <c r="X24"/>
      <c r="Y24"/>
      <c r="Z24"/>
      <c r="AA24"/>
      <c r="AB24"/>
    </row>
    <row r="25" spans="2:28" x14ac:dyDescent="0.35">
      <c r="R25" s="39"/>
      <c r="S25" s="39" t="s">
        <v>2</v>
      </c>
      <c r="T25" s="36">
        <v>900</v>
      </c>
      <c r="V25"/>
      <c r="W25"/>
      <c r="X25"/>
      <c r="Y25"/>
      <c r="Z25"/>
      <c r="AA25"/>
      <c r="AB25"/>
    </row>
    <row r="26" spans="2:28" x14ac:dyDescent="0.35">
      <c r="B26" s="57" t="s">
        <v>43</v>
      </c>
      <c r="C26" s="58" t="s">
        <v>44</v>
      </c>
      <c r="R26" s="39"/>
      <c r="S26" s="39" t="s">
        <v>36</v>
      </c>
      <c r="T26" s="36">
        <v>250</v>
      </c>
      <c r="V26"/>
      <c r="W26"/>
      <c r="X26"/>
      <c r="Y26"/>
      <c r="Z26"/>
      <c r="AA26"/>
      <c r="AB26"/>
    </row>
    <row r="27" spans="2:28" x14ac:dyDescent="0.35">
      <c r="R27" s="39"/>
      <c r="S27" s="39" t="s">
        <v>37</v>
      </c>
      <c r="T27" s="36">
        <v>300</v>
      </c>
      <c r="V27"/>
      <c r="W27"/>
      <c r="X27"/>
      <c r="Y27"/>
      <c r="Z27"/>
      <c r="AA27"/>
      <c r="AB27"/>
    </row>
    <row r="28" spans="2:28" x14ac:dyDescent="0.35">
      <c r="R28" s="40"/>
      <c r="S28" s="41" t="s">
        <v>3</v>
      </c>
      <c r="T28" s="38">
        <f>SUM(T23:T27)</f>
        <v>3300</v>
      </c>
      <c r="V28"/>
      <c r="W28"/>
      <c r="X28"/>
      <c r="Y28"/>
      <c r="Z28"/>
      <c r="AA28"/>
      <c r="AB28"/>
    </row>
  </sheetData>
  <sheetProtection algorithmName="SHA-512" hashValue="IuU8vvdyd+uTacKZ4LVf4P3zOb32F6UiimL5h2NnCzwoiDB2YaBOzDB+pVtbksMG16vMl0+1caBoy2w2epYUwg==" saltValue="YRKxAFX4AccNhG2B4K3Qug==" spinCount="100000" sheet="1" selectLockedCells="1"/>
  <mergeCells count="3">
    <mergeCell ref="D5:O5"/>
    <mergeCell ref="B9:B17"/>
    <mergeCell ref="A2:G2"/>
  </mergeCells>
  <conditionalFormatting sqref="D9:O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FEF9C"/>
        <color rgb="FF63BE7B"/>
      </colorScale>
    </cfRule>
  </conditionalFormatting>
  <dataValidations count="4">
    <dataValidation type="list" allowBlank="1" showInputMessage="1" showErrorMessage="1" sqref="B3" xr:uid="{6E688C9F-27F4-4872-8688-EC38B68FCDE8}">
      <formula1>"ton, 100 kg"</formula1>
    </dataValidation>
    <dataValidation type="list" allowBlank="1" showInputMessage="1" showErrorMessage="1" sqref="B5" xr:uid="{D92F1E90-D1DA-4A32-A7BC-394EEC355E46}">
      <formula1>"uien, consumptieaardappelen, suikerbieten, tarwe, gerst"</formula1>
    </dataValidation>
    <dataValidation type="list" allowBlank="1" showInputMessage="1" showErrorMessage="1" sqref="B4" xr:uid="{87DF2589-C818-486B-AFC3-6DBDA86550A0}">
      <formula1>$W$2:$AB$2</formula1>
    </dataValidation>
    <dataValidation type="whole" operator="greaterThan" allowBlank="1" showInputMessage="1" showErrorMessage="1" sqref="T20" xr:uid="{0DDD6C98-2FD3-43F0-B2ED-CC0A75FDB9AA}">
      <formula1>500</formula1>
    </dataValidation>
  </dataValidations>
  <hyperlinks>
    <hyperlink ref="C24" r:id="rId1" xr:uid="{22720393-9EC7-4360-83F2-E59897ADDBD7}"/>
    <hyperlink ref="E24" r:id="rId2" xr:uid="{94BA2427-DFA4-437F-8018-D18FB1065611}"/>
    <hyperlink ref="C26" r:id="rId3" xr:uid="{08BA3E4C-0BBF-4F6F-8DBF-F2FEAE734682}"/>
  </hyperlinks>
  <pageMargins left="0.25" right="0.25" top="0.75" bottom="0.75" header="0.3" footer="0.3"/>
  <pageSetup scale="67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20</xdr:col>
                    <xdr:colOff>31750</xdr:colOff>
                    <xdr:row>16</xdr:row>
                    <xdr:rowOff>0</xdr:rowOff>
                  </from>
                  <to>
                    <xdr:col>21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globale kostprijs per gewas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N552VX</dc:creator>
  <cp:lastModifiedBy>Dominique FLORINS</cp:lastModifiedBy>
  <cp:lastPrinted>2022-01-21T15:33:02Z</cp:lastPrinted>
  <dcterms:created xsi:type="dcterms:W3CDTF">2018-03-05T09:03:45Z</dcterms:created>
  <dcterms:modified xsi:type="dcterms:W3CDTF">2022-02-08T07:38:07Z</dcterms:modified>
</cp:coreProperties>
</file>